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\Google Drive\My Documents\"/>
    </mc:Choice>
  </mc:AlternateContent>
  <bookViews>
    <workbookView xWindow="480" yWindow="135" windowWidth="15135" windowHeight="11535"/>
  </bookViews>
  <sheets>
    <sheet name="Calculator" sheetId="1" r:id="rId1"/>
    <sheet name="Volume Calculations, WHO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18" i="1" l="1"/>
  <c r="C22" i="1"/>
  <c r="C25" i="1" s="1"/>
  <c r="C27" i="1"/>
  <c r="C67" i="1" s="1"/>
  <c r="H65" i="1"/>
  <c r="G36" i="1"/>
  <c r="C54" i="1"/>
  <c r="C60" i="1"/>
  <c r="C75" i="1" l="1"/>
  <c r="C77" i="1"/>
  <c r="C79" i="1"/>
  <c r="C68" i="1"/>
  <c r="C73" i="1"/>
  <c r="C72" i="1"/>
  <c r="C74" i="1"/>
  <c r="C81" i="1"/>
  <c r="C78" i="1"/>
  <c r="C70" i="1"/>
  <c r="C69" i="1"/>
  <c r="C71" i="1"/>
  <c r="C80" i="1"/>
  <c r="C76" i="1"/>
  <c r="E67" i="1"/>
  <c r="H63" i="1"/>
  <c r="E61" i="1"/>
  <c r="E60" i="1"/>
  <c r="E58" i="1"/>
  <c r="E56" i="1"/>
  <c r="H71" i="1"/>
  <c r="I71" i="1" s="1"/>
  <c r="J71" i="1" s="1"/>
  <c r="E62" i="1"/>
  <c r="E57" i="1"/>
  <c r="E55" i="1"/>
  <c r="G37" i="1"/>
  <c r="E53" i="1"/>
  <c r="E59" i="1"/>
  <c r="E43" i="1"/>
  <c r="E54" i="1"/>
  <c r="E42" i="1"/>
  <c r="C62" i="1"/>
  <c r="C56" i="1"/>
  <c r="C29" i="1"/>
  <c r="C53" i="1"/>
  <c r="C61" i="1"/>
  <c r="C58" i="1"/>
  <c r="H73" i="1"/>
  <c r="I73" i="1" s="1"/>
  <c r="J73" i="1" s="1"/>
  <c r="C57" i="1"/>
  <c r="C59" i="1"/>
  <c r="C55" i="1"/>
  <c r="J42" i="1" l="1"/>
  <c r="H42" i="1"/>
  <c r="I42" i="1"/>
  <c r="J43" i="1"/>
  <c r="I43" i="1"/>
  <c r="H43" i="1"/>
  <c r="E78" i="1"/>
  <c r="E68" i="1"/>
  <c r="E77" i="1"/>
  <c r="E75" i="1"/>
  <c r="E79" i="1"/>
  <c r="E81" i="1"/>
  <c r="E76" i="1"/>
  <c r="E69" i="1"/>
  <c r="E73" i="1"/>
  <c r="E74" i="1"/>
  <c r="E72" i="1"/>
  <c r="E71" i="1"/>
  <c r="E80" i="1"/>
  <c r="E70" i="1"/>
  <c r="H75" i="1"/>
  <c r="I75" i="1" s="1"/>
  <c r="J75" i="1" s="1"/>
  <c r="H67" i="1"/>
</calcChain>
</file>

<file path=xl/sharedStrings.xml><?xml version="1.0" encoding="utf-8"?>
<sst xmlns="http://schemas.openxmlformats.org/spreadsheetml/2006/main" count="122" uniqueCount="103">
  <si>
    <t>Appendix II, page 352 - visual field area / calibration</t>
  </si>
  <si>
    <t>Based on:</t>
  </si>
  <si>
    <t>1)  Practical Laboratory Andrology by David Mortimer © 1994 Oxford Univ Press</t>
  </si>
  <si>
    <t>and</t>
  </si>
  <si>
    <t>2) WHO laboratory manual for the Examination and processing of human semen, 5th Edition, 2010 © WHO, Geneva</t>
  </si>
  <si>
    <t>Page 49 - volume / depth of field table</t>
  </si>
  <si>
    <t>With a ×40 objective and a ×10 ocular of aperture 20 mm, the microscope field</t>
  </si>
  <si>
    <t>has a diameter of approximately 500 μm (20 mm/40). In this case, r = 250 μm,</t>
  </si>
  <si>
    <t>With a ×20 objective and a ×10 ocular of aperture 20 mm, the microscope field</t>
  </si>
  <si>
    <t>has a diameter of approximately 1000 μm (20 mm/20). In this case, r = 500 μm,</t>
  </si>
  <si>
    <t>Box 2.4 Depth of wet preparations</t>
  </si>
  <si>
    <t>The depth of a preparation (D μm) is obtained by dividing the volume of the</t>
  </si>
  <si>
    <t>a volume of 10 μl of semen delivered onto a clean glass slide and covered with a</t>
  </si>
  <si>
    <t>a depth of 20.1 μm; an 11 μl sample covered by a 21 mm × 26 mm coverslip (area</t>
  </si>
  <si>
    <t>provides a depth of 33.3 μm.</t>
  </si>
  <si>
    <t>Boxes 2.4 and 2.9 and Section 2.10</t>
  </si>
  <si>
    <t>Box 2.9 Volume observed per HPF of a 20-μm-deep wet preparation</t>
  </si>
  <si>
    <t>The volume of semen observed in each microscopic field depends on the area of</t>
  </si>
  <si>
    <t>field) and the depth of the chamber (20.7 μm for the wet preparation). The diameter</t>
  </si>
  <si>
    <t>of the microscopic field can be measured with a stage micrometer or can be estimated</t>
  </si>
  <si>
    <t>by dividing the diameter of the aperture of the ocular lens by the magnification</t>
  </si>
  <si>
    <t>of the objective lens.</t>
  </si>
  <si>
    <t>Size of cover slip in mm:</t>
  </si>
  <si>
    <t>Surface area =</t>
  </si>
  <si>
    <t>mm^2</t>
  </si>
  <si>
    <t>x</t>
  </si>
  <si>
    <t>Volume of drop in microL:</t>
  </si>
  <si>
    <t>Depth of field in microns:</t>
  </si>
  <si>
    <t xml:space="preserve">The spreadsheet will calculate the number of sperm / mL, corresponding to </t>
  </si>
  <si>
    <t xml:space="preserve">  the number of sperm observed per high power field.</t>
  </si>
  <si>
    <t>400 X magification:</t>
  </si>
  <si>
    <t>200 X magification:</t>
  </si>
  <si>
    <t>(10 x 40)</t>
  </si>
  <si>
    <t>(10 x 20)</t>
  </si>
  <si>
    <t>nL</t>
  </si>
  <si>
    <t>Volume per high power field (hpf) at…</t>
  </si>
  <si>
    <t>Sperm per high power field =&gt; sperm / mL</t>
  </si>
  <si>
    <t xml:space="preserve"> @ 400x</t>
  </si>
  <si>
    <t xml:space="preserve">Sperm / mL </t>
  </si>
  <si>
    <t xml:space="preserve"> @ 200x</t>
  </si>
  <si>
    <t>---------------------------------------------------------------------</t>
  </si>
  <si>
    <t>Number of hpf</t>
  </si>
  <si>
    <t>Number of sperm</t>
  </si>
  <si>
    <t>Number of Sperm</t>
  </si>
  <si>
    <t xml:space="preserve"> per </t>
  </si>
  <si>
    <t>Number of HPF</t>
  </si>
  <si>
    <t xml:space="preserve">    =</t>
  </si>
  <si>
    <t>sperm / mL</t>
  </si>
  <si>
    <t>No sperm per N hpf =&gt; less than X sperm / mL</t>
  </si>
  <si>
    <t>1 sperm / N hpf  =&gt; sperm / mL by magnification</t>
  </si>
  <si>
    <t>* Based on Poisson distribution</t>
  </si>
  <si>
    <t>Tables showing specific values, based on data entered above</t>
  </si>
  <si>
    <t>N sperm/ 1 hpf =&gt;</t>
  </si>
  <si>
    <t>Spreadsheet prepared by David C. Sokal, MD  (dsokal@fhi.org)</t>
  </si>
  <si>
    <t>What is the sperm concentration per mL based on sperm per hpf?</t>
  </si>
  <si>
    <t>Calculator:  Enter data in the yellow-highlighted cells.</t>
  </si>
  <si>
    <t>Less than:</t>
  </si>
  <si>
    <t xml:space="preserve">   =&gt;</t>
  </si>
  <si>
    <t xml:space="preserve">For an observation of zero sperm, the </t>
  </si>
  <si>
    <t>The upper limits for the expectation of a Poisson variable,</t>
  </si>
  <si>
    <t xml:space="preserve">   based on an observation of zero sperm are:</t>
  </si>
  <si>
    <t xml:space="preserve">  concentration per mL is:</t>
  </si>
  <si>
    <t xml:space="preserve">So if you see __ sperm in __ hpf, the </t>
  </si>
  <si>
    <t>In other words, if you see zero sperm on microscopy,</t>
  </si>
  <si>
    <t xml:space="preserve">  with 95% confidence, is 3 sperm.</t>
  </si>
  <si>
    <t xml:space="preserve">  the largest number that you might have missed, </t>
  </si>
  <si>
    <t>NB:  While the WHO manual uses the term "aperture" for the diameter of</t>
  </si>
  <si>
    <t xml:space="preserve">  the visual field, this terminology is not generally used as WHO has used it.</t>
  </si>
  <si>
    <t xml:space="preserve">  See: http://www.microscopyu.com/articles/formulas/formulasfieldofview.html for </t>
  </si>
  <si>
    <t xml:space="preserve">  more details on this definition / terminology.</t>
  </si>
  <si>
    <t xml:space="preserve">  or simply the 'field number' which is the diameter of the view field in millimeters."</t>
  </si>
  <si>
    <t xml:space="preserve">  Per microscopy and optics experts, the preferred term would be.. " the 'field-of-view number'</t>
  </si>
  <si>
    <t>sample (V, μl = mm^3) by the area over which it is spread (A, mm^2): D = V/A. Thus,</t>
  </si>
  <si>
    <t>22 mm × 22 mm coverslip (area 484 mm^2) provides a chamber of depth 20.7 μm; a</t>
  </si>
  <si>
    <t>6.5 μl sample covered with an 18 mm × 18 mm coverslip (area 324 mm^2) provides</t>
  </si>
  <si>
    <t>546 mm^2) provides a depth of 20.1 μm. Occasionally, a deeper chamber may be</t>
  </si>
  <si>
    <t>required: a 40 μl sample covered by a 24 mm × 50 mm coverslip (area 1200 mm^2)</t>
  </si>
  <si>
    <t>the field (pi*r^2, where pi is approximately 3.142 and r is the radius of the microscopic</t>
  </si>
  <si>
    <t>r^2 = 62 500 μm2, pi*r^2 = 196 375 μm^2 and the volume is 4 064 962 μm^3 or about 4 nl.</t>
  </si>
  <si>
    <t>r^2 = 250 000 μm2, pi*r^2 = 785 500 μm^2 and the volume is 16 259 850 μm^3 or about 16 nl.</t>
  </si>
  <si>
    <t xml:space="preserve"> different microscopes.  If you</t>
  </si>
  <si>
    <t xml:space="preserve"> This is the diameter of the field of view</t>
  </si>
  <si>
    <t>This number is usually shown on</t>
  </si>
  <si>
    <t xml:space="preserve"> the eyepiece lens.</t>
  </si>
  <si>
    <t xml:space="preserve"> This number is different for</t>
  </si>
  <si>
    <t>Field-of-view number or field number:</t>
  </si>
  <si>
    <t xml:space="preserve"> don't know the number, a common and</t>
  </si>
  <si>
    <t xml:space="preserve"> conservative # is 20 for a modern microscope.</t>
  </si>
  <si>
    <t xml:space="preserve">  in millimeters, not the magnification.</t>
  </si>
  <si>
    <t xml:space="preserve">  See next sheet for more details.</t>
  </si>
  <si>
    <t>Scientist, Family Health International  (www.fhi.org)</t>
  </si>
  <si>
    <t xml:space="preserve">  and using a field of view of 20 mm.</t>
  </si>
  <si>
    <t xml:space="preserve"> confidence intervals, less than N sperm / mL, one-tailed are: *</t>
  </si>
  <si>
    <t>The above numbers in cells I55 to K55 are used as</t>
  </si>
  <si>
    <t xml:space="preserve">    multipliers for the confidence limits above.</t>
  </si>
  <si>
    <t>Nombres de HPFs lorsqu'on observe 10microl sous une lame de 22x22</t>
  </si>
  <si>
    <t xml:space="preserve"> @ 100x</t>
  </si>
  <si>
    <t>100 X magification:</t>
  </si>
  <si>
    <t>(10 x 10)</t>
  </si>
  <si>
    <t>Volume observé lorsqu'on observe 50 HPFs</t>
  </si>
  <si>
    <t>nl</t>
  </si>
  <si>
    <t>µl</t>
  </si>
  <si>
    <t>10µl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</si>
</sst>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0.0000"/>
    <numFmt numFmtId="174" formatCode="0.0"/>
    <numFmt numFmtId="176" formatCode="0.0%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7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quotePrefix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0" fillId="2" borderId="0" xfId="0" applyNumberFormat="1" applyFill="1" applyAlignment="1">
      <alignment horizontal="center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4" fillId="0" borderId="0" xfId="0" applyFont="1"/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172" fontId="0" fillId="0" borderId="0" xfId="0" applyNumberFormat="1"/>
    <xf numFmtId="172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workbookViewId="0">
      <selection activeCell="D43" sqref="D43"/>
    </sheetView>
  </sheetViews>
  <sheetFormatPr defaultColWidth="11.42578125" defaultRowHeight="12.75" x14ac:dyDescent="0.2"/>
  <cols>
    <col min="1" max="1" width="8" customWidth="1"/>
    <col min="2" max="2" width="16.28515625" customWidth="1"/>
    <col min="3" max="3" width="12.42578125" customWidth="1"/>
    <col min="4" max="4" width="5.7109375" customWidth="1"/>
    <col min="5" max="5" width="12.7109375" customWidth="1"/>
    <col min="6" max="6" width="10.140625" customWidth="1"/>
    <col min="7" max="7" width="13.140625" customWidth="1"/>
    <col min="8" max="8" width="11.28515625" customWidth="1"/>
    <col min="9" max="9" width="10.140625" customWidth="1"/>
    <col min="10" max="10" width="10.42578125" customWidth="1"/>
  </cols>
  <sheetData>
    <row r="1" spans="1:7" ht="15.75" x14ac:dyDescent="0.25">
      <c r="B1" s="18" t="s">
        <v>54</v>
      </c>
    </row>
    <row r="2" spans="1:7" ht="15.75" x14ac:dyDescent="0.25">
      <c r="B2" s="18"/>
      <c r="C2" s="19" t="s">
        <v>53</v>
      </c>
    </row>
    <row r="3" spans="1:7" ht="15.75" x14ac:dyDescent="0.25">
      <c r="B3" s="18"/>
      <c r="C3" t="s">
        <v>90</v>
      </c>
    </row>
    <row r="5" spans="1:7" x14ac:dyDescent="0.2">
      <c r="A5" s="1" t="s">
        <v>1</v>
      </c>
    </row>
    <row r="6" spans="1:7" x14ac:dyDescent="0.2">
      <c r="A6" t="s">
        <v>2</v>
      </c>
    </row>
    <row r="7" spans="1:7" x14ac:dyDescent="0.2">
      <c r="B7" t="s">
        <v>5</v>
      </c>
    </row>
    <row r="8" spans="1:7" x14ac:dyDescent="0.2">
      <c r="B8" t="s">
        <v>0</v>
      </c>
    </row>
    <row r="9" spans="1:7" x14ac:dyDescent="0.2">
      <c r="A9" t="s">
        <v>3</v>
      </c>
    </row>
    <row r="10" spans="1:7" x14ac:dyDescent="0.2">
      <c r="A10" s="4" t="s">
        <v>4</v>
      </c>
    </row>
    <row r="11" spans="1:7" x14ac:dyDescent="0.2">
      <c r="B11" t="s">
        <v>15</v>
      </c>
    </row>
    <row r="13" spans="1:7" x14ac:dyDescent="0.2">
      <c r="A13" s="1" t="s">
        <v>55</v>
      </c>
    </row>
    <row r="14" spans="1:7" x14ac:dyDescent="0.2">
      <c r="B14" t="s">
        <v>28</v>
      </c>
    </row>
    <row r="15" spans="1:7" x14ac:dyDescent="0.2">
      <c r="B15" t="s">
        <v>29</v>
      </c>
    </row>
    <row r="16" spans="1:7" x14ac:dyDescent="0.2">
      <c r="G16" t="s">
        <v>85</v>
      </c>
    </row>
    <row r="17" spans="1:14" x14ac:dyDescent="0.2">
      <c r="A17" t="s">
        <v>22</v>
      </c>
      <c r="C17" s="7">
        <v>22</v>
      </c>
      <c r="D17" s="5" t="s">
        <v>25</v>
      </c>
      <c r="E17" s="8">
        <v>22</v>
      </c>
      <c r="G17" s="17">
        <v>20</v>
      </c>
    </row>
    <row r="18" spans="1:14" x14ac:dyDescent="0.2">
      <c r="B18" t="s">
        <v>23</v>
      </c>
      <c r="C18">
        <f>C17*E17</f>
        <v>484</v>
      </c>
      <c r="D18" t="s">
        <v>24</v>
      </c>
      <c r="G18" t="s">
        <v>82</v>
      </c>
    </row>
    <row r="19" spans="1:14" x14ac:dyDescent="0.2">
      <c r="G19" t="s">
        <v>83</v>
      </c>
    </row>
    <row r="20" spans="1:14" x14ac:dyDescent="0.2">
      <c r="A20" t="s">
        <v>26</v>
      </c>
      <c r="C20" s="7">
        <v>10</v>
      </c>
      <c r="G20" t="s">
        <v>84</v>
      </c>
    </row>
    <row r="21" spans="1:14" x14ac:dyDescent="0.2">
      <c r="G21" t="s">
        <v>80</v>
      </c>
    </row>
    <row r="22" spans="1:14" x14ac:dyDescent="0.2">
      <c r="A22" t="s">
        <v>27</v>
      </c>
      <c r="C22" s="6">
        <f>C20/C18*1000</f>
        <v>20.66115702479339</v>
      </c>
      <c r="G22" t="s">
        <v>86</v>
      </c>
    </row>
    <row r="23" spans="1:14" x14ac:dyDescent="0.2">
      <c r="G23" t="s">
        <v>87</v>
      </c>
    </row>
    <row r="24" spans="1:14" x14ac:dyDescent="0.2">
      <c r="A24" t="s">
        <v>35</v>
      </c>
      <c r="G24" t="s">
        <v>81</v>
      </c>
    </row>
    <row r="25" spans="1:14" x14ac:dyDescent="0.2">
      <c r="B25" t="s">
        <v>30</v>
      </c>
      <c r="C25" s="25">
        <f>3.142*((G17/40/2)^2)*C22</f>
        <v>4.0573347107438016</v>
      </c>
      <c r="D25" t="s">
        <v>34</v>
      </c>
      <c r="G25" t="s">
        <v>88</v>
      </c>
    </row>
    <row r="26" spans="1:14" x14ac:dyDescent="0.2">
      <c r="B26" t="s">
        <v>32</v>
      </c>
      <c r="C26" s="25"/>
      <c r="G26" t="s">
        <v>89</v>
      </c>
    </row>
    <row r="27" spans="1:14" x14ac:dyDescent="0.2">
      <c r="B27" t="s">
        <v>31</v>
      </c>
      <c r="C27" s="25">
        <f>3.142*((G17/20/2)^2)*C22</f>
        <v>16.229338842975206</v>
      </c>
      <c r="D27" t="s">
        <v>34</v>
      </c>
    </row>
    <row r="28" spans="1:14" x14ac:dyDescent="0.2">
      <c r="B28" t="s">
        <v>33</v>
      </c>
      <c r="C28" s="25"/>
    </row>
    <row r="29" spans="1:14" x14ac:dyDescent="0.2">
      <c r="B29" s="24" t="s">
        <v>97</v>
      </c>
      <c r="C29" s="26">
        <f>3.142*((G17/10/2)^2)*C22</f>
        <v>64.917355371900825</v>
      </c>
      <c r="D29" s="24" t="s">
        <v>34</v>
      </c>
    </row>
    <row r="30" spans="1:14" x14ac:dyDescent="0.2">
      <c r="B30" s="24" t="s">
        <v>98</v>
      </c>
      <c r="C30" s="24"/>
      <c r="D30" s="24"/>
    </row>
    <row r="31" spans="1:14" x14ac:dyDescent="0.2">
      <c r="N31" s="2"/>
    </row>
    <row r="32" spans="1:14" ht="15.75" x14ac:dyDescent="0.25">
      <c r="A32" s="18" t="s">
        <v>36</v>
      </c>
      <c r="C32" s="10"/>
      <c r="D32" s="10"/>
      <c r="E32" s="10"/>
    </row>
    <row r="33" spans="1:13" x14ac:dyDescent="0.2">
      <c r="B33" s="5"/>
      <c r="C33" s="10"/>
      <c r="D33" s="10"/>
      <c r="E33" s="10"/>
      <c r="G33" s="1" t="s">
        <v>62</v>
      </c>
    </row>
    <row r="34" spans="1:13" x14ac:dyDescent="0.2">
      <c r="B34" s="11" t="s">
        <v>43</v>
      </c>
      <c r="C34" s="12" t="s">
        <v>44</v>
      </c>
      <c r="D34" s="12"/>
      <c r="E34" s="12" t="s">
        <v>45</v>
      </c>
      <c r="G34" s="21" t="s">
        <v>61</v>
      </c>
    </row>
    <row r="35" spans="1:13" x14ac:dyDescent="0.2">
      <c r="B35" s="5"/>
      <c r="C35" s="10"/>
      <c r="D35" s="10"/>
      <c r="E35" s="10"/>
      <c r="M35" s="3"/>
    </row>
    <row r="36" spans="1:13" x14ac:dyDescent="0.2">
      <c r="A36" t="s">
        <v>39</v>
      </c>
      <c r="B36" s="7">
        <v>11</v>
      </c>
      <c r="D36" s="10"/>
      <c r="E36" s="14">
        <v>1</v>
      </c>
      <c r="F36" s="5" t="s">
        <v>46</v>
      </c>
      <c r="G36" s="10">
        <f>B36/(E36*C27)*1000000</f>
        <v>677784.85041374923</v>
      </c>
      <c r="H36" t="s">
        <v>47</v>
      </c>
    </row>
    <row r="37" spans="1:13" x14ac:dyDescent="0.2">
      <c r="A37" t="s">
        <v>37</v>
      </c>
      <c r="B37" s="7">
        <v>1</v>
      </c>
      <c r="D37" s="10"/>
      <c r="E37" s="14">
        <v>3</v>
      </c>
      <c r="F37" s="5" t="s">
        <v>46</v>
      </c>
      <c r="G37" s="10">
        <f>B37/(E37*C25)*1000000</f>
        <v>82155.739444090825</v>
      </c>
      <c r="H37" t="s">
        <v>47</v>
      </c>
    </row>
    <row r="38" spans="1:13" x14ac:dyDescent="0.2">
      <c r="B38" s="5"/>
      <c r="C38" s="10"/>
      <c r="D38" s="10"/>
      <c r="E38" s="10"/>
      <c r="G38" s="1" t="s">
        <v>58</v>
      </c>
    </row>
    <row r="39" spans="1:13" x14ac:dyDescent="0.2">
      <c r="B39" s="13" t="s">
        <v>48</v>
      </c>
      <c r="G39" s="1" t="s">
        <v>92</v>
      </c>
    </row>
    <row r="40" spans="1:13" x14ac:dyDescent="0.2">
      <c r="B40" s="5"/>
      <c r="C40" s="12" t="s">
        <v>45</v>
      </c>
      <c r="H40" s="16">
        <v>0.95</v>
      </c>
      <c r="I40" s="16">
        <v>0.97499999999999998</v>
      </c>
      <c r="J40" s="16">
        <v>0.99</v>
      </c>
    </row>
    <row r="41" spans="1:13" x14ac:dyDescent="0.2">
      <c r="B41" s="5"/>
      <c r="C41" s="12"/>
      <c r="D41" s="1" t="s">
        <v>57</v>
      </c>
      <c r="E41" s="1" t="s">
        <v>56</v>
      </c>
      <c r="H41" s="15"/>
      <c r="I41" s="15"/>
      <c r="J41" s="15"/>
    </row>
    <row r="42" spans="1:13" x14ac:dyDescent="0.2">
      <c r="A42" t="s">
        <v>39</v>
      </c>
      <c r="C42" s="14">
        <v>50</v>
      </c>
      <c r="D42" s="5"/>
      <c r="E42" s="10">
        <f>1/(C42*C27)*1000000</f>
        <v>1232.3360916613622</v>
      </c>
      <c r="F42" t="s">
        <v>47</v>
      </c>
      <c r="H42" s="10">
        <f>E42*H50</f>
        <v>3697.0082749840867</v>
      </c>
      <c r="I42" s="10">
        <f>E42*I50</f>
        <v>4547.3201782304259</v>
      </c>
      <c r="J42" s="10">
        <f>E42*J50</f>
        <v>5681.0693825588796</v>
      </c>
    </row>
    <row r="43" spans="1:13" x14ac:dyDescent="0.2">
      <c r="A43" t="s">
        <v>37</v>
      </c>
      <c r="C43" s="17">
        <v>30</v>
      </c>
      <c r="D43" s="5"/>
      <c r="E43" s="10">
        <f>1/(C43*C25)*1000000</f>
        <v>8215.5739444090814</v>
      </c>
      <c r="F43" t="s">
        <v>47</v>
      </c>
      <c r="H43" s="10">
        <f>E43*H50</f>
        <v>24646.721833227246</v>
      </c>
      <c r="I43" s="10">
        <f>E43*I50</f>
        <v>30315.467854869508</v>
      </c>
      <c r="J43" s="10">
        <f>E43*J50</f>
        <v>37873.79588372587</v>
      </c>
    </row>
    <row r="44" spans="1:13" x14ac:dyDescent="0.2">
      <c r="B44" s="5"/>
    </row>
    <row r="45" spans="1:13" x14ac:dyDescent="0.2">
      <c r="B45" s="5"/>
      <c r="H45" t="s">
        <v>50</v>
      </c>
    </row>
    <row r="46" spans="1:13" x14ac:dyDescent="0.2">
      <c r="B46" s="5"/>
    </row>
    <row r="47" spans="1:13" x14ac:dyDescent="0.2">
      <c r="A47" s="1" t="s">
        <v>51</v>
      </c>
      <c r="B47" s="5"/>
      <c r="H47" t="s">
        <v>59</v>
      </c>
    </row>
    <row r="48" spans="1:13" x14ac:dyDescent="0.2">
      <c r="A48" s="1" t="s">
        <v>91</v>
      </c>
      <c r="B48" s="5"/>
      <c r="H48" t="s">
        <v>60</v>
      </c>
    </row>
    <row r="49" spans="2:10" x14ac:dyDescent="0.2">
      <c r="H49" s="16">
        <v>0.95</v>
      </c>
      <c r="I49" s="16">
        <v>0.97499999999999998</v>
      </c>
      <c r="J49" s="16">
        <v>0.99</v>
      </c>
    </row>
    <row r="50" spans="2:10" x14ac:dyDescent="0.2">
      <c r="B50" s="1" t="s">
        <v>52</v>
      </c>
      <c r="C50" s="1" t="s">
        <v>38</v>
      </c>
      <c r="H50" s="20">
        <v>3</v>
      </c>
      <c r="I50" s="20">
        <v>3.69</v>
      </c>
      <c r="J50" s="20">
        <v>4.6100000000000003</v>
      </c>
    </row>
    <row r="51" spans="2:10" x14ac:dyDescent="0.2">
      <c r="B51" s="5" t="s">
        <v>42</v>
      </c>
      <c r="C51" t="s">
        <v>39</v>
      </c>
      <c r="E51" t="s">
        <v>37</v>
      </c>
      <c r="H51" t="s">
        <v>63</v>
      </c>
    </row>
    <row r="52" spans="2:10" x14ac:dyDescent="0.2">
      <c r="B52" s="9" t="s">
        <v>40</v>
      </c>
      <c r="H52" t="s">
        <v>65</v>
      </c>
    </row>
    <row r="53" spans="2:10" x14ac:dyDescent="0.2">
      <c r="B53" s="5">
        <v>1</v>
      </c>
      <c r="C53" s="10">
        <f t="shared" ref="C53:C62" si="0">B53/$C$27*1000000</f>
        <v>61616.804583068115</v>
      </c>
      <c r="E53" s="10">
        <f t="shared" ref="E53:E62" si="1">B53/$C$25*1000000</f>
        <v>246467.21833227246</v>
      </c>
      <c r="H53" t="s">
        <v>64</v>
      </c>
    </row>
    <row r="54" spans="2:10" x14ac:dyDescent="0.2">
      <c r="B54" s="5">
        <v>2</v>
      </c>
      <c r="C54" s="10">
        <f t="shared" si="0"/>
        <v>123233.60916613623</v>
      </c>
      <c r="E54" s="10">
        <f t="shared" si="1"/>
        <v>492934.43666454492</v>
      </c>
    </row>
    <row r="55" spans="2:10" x14ac:dyDescent="0.2">
      <c r="B55" s="5">
        <v>3</v>
      </c>
      <c r="C55" s="10">
        <f t="shared" si="0"/>
        <v>184850.41374920434</v>
      </c>
      <c r="E55" s="10">
        <f t="shared" si="1"/>
        <v>739401.65499681735</v>
      </c>
      <c r="H55" t="s">
        <v>93</v>
      </c>
    </row>
    <row r="56" spans="2:10" x14ac:dyDescent="0.2">
      <c r="B56" s="5">
        <v>4</v>
      </c>
      <c r="C56" s="10">
        <f t="shared" si="0"/>
        <v>246467.21833227246</v>
      </c>
      <c r="E56" s="10">
        <f t="shared" si="1"/>
        <v>985868.87332908984</v>
      </c>
      <c r="H56" t="s">
        <v>94</v>
      </c>
    </row>
    <row r="57" spans="2:10" x14ac:dyDescent="0.2">
      <c r="B57" s="5">
        <v>5</v>
      </c>
      <c r="C57" s="10">
        <f t="shared" si="0"/>
        <v>308084.02291534055</v>
      </c>
      <c r="E57" s="10">
        <f t="shared" si="1"/>
        <v>1232336.0916613622</v>
      </c>
    </row>
    <row r="58" spans="2:10" x14ac:dyDescent="0.2">
      <c r="B58" s="5">
        <v>6</v>
      </c>
      <c r="C58" s="10">
        <f t="shared" si="0"/>
        <v>369700.82749840867</v>
      </c>
      <c r="E58" s="10">
        <f t="shared" si="1"/>
        <v>1478803.3099936347</v>
      </c>
    </row>
    <row r="59" spans="2:10" x14ac:dyDescent="0.2">
      <c r="B59" s="5">
        <v>7</v>
      </c>
      <c r="C59" s="10">
        <f t="shared" si="0"/>
        <v>431317.6320814768</v>
      </c>
      <c r="E59" s="10">
        <f t="shared" si="1"/>
        <v>1725270.5283259072</v>
      </c>
    </row>
    <row r="60" spans="2:10" x14ac:dyDescent="0.2">
      <c r="B60" s="5">
        <v>8</v>
      </c>
      <c r="C60" s="10">
        <f t="shared" si="0"/>
        <v>492934.43666454492</v>
      </c>
      <c r="E60" s="10">
        <f t="shared" si="1"/>
        <v>1971737.7466581797</v>
      </c>
    </row>
    <row r="61" spans="2:10" x14ac:dyDescent="0.2">
      <c r="B61" s="5">
        <v>9</v>
      </c>
      <c r="C61" s="10">
        <f t="shared" si="0"/>
        <v>554551.24124761298</v>
      </c>
      <c r="E61" s="10">
        <f t="shared" si="1"/>
        <v>2218204.9649904519</v>
      </c>
      <c r="G61" s="22" t="s">
        <v>95</v>
      </c>
      <c r="H61" s="23"/>
    </row>
    <row r="62" spans="2:10" x14ac:dyDescent="0.2">
      <c r="B62" s="5">
        <v>10</v>
      </c>
      <c r="C62" s="10">
        <f t="shared" si="0"/>
        <v>616168.04583068111</v>
      </c>
      <c r="E62" s="10">
        <f t="shared" si="1"/>
        <v>2464672.1833227244</v>
      </c>
      <c r="G62" s="23"/>
      <c r="H62" s="23"/>
    </row>
    <row r="63" spans="2:10" x14ac:dyDescent="0.2">
      <c r="B63" s="5"/>
      <c r="C63" s="5"/>
      <c r="D63" s="5"/>
      <c r="E63" s="5"/>
      <c r="G63" s="23" t="s">
        <v>37</v>
      </c>
      <c r="H63" s="23">
        <f>10000/C25</f>
        <v>2464.6721833227243</v>
      </c>
    </row>
    <row r="64" spans="2:10" x14ac:dyDescent="0.2">
      <c r="B64" s="13" t="s">
        <v>49</v>
      </c>
      <c r="C64" s="5"/>
      <c r="D64" s="5"/>
      <c r="E64" s="5"/>
      <c r="G64" s="23"/>
      <c r="H64" s="23"/>
    </row>
    <row r="65" spans="2:10" x14ac:dyDescent="0.2">
      <c r="B65" s="5" t="s">
        <v>41</v>
      </c>
      <c r="C65" t="s">
        <v>39</v>
      </c>
      <c r="E65" t="s">
        <v>37</v>
      </c>
      <c r="G65" s="23" t="s">
        <v>39</v>
      </c>
      <c r="H65" s="23">
        <f>10000/C27</f>
        <v>616.16804583068108</v>
      </c>
    </row>
    <row r="66" spans="2:10" x14ac:dyDescent="0.2">
      <c r="B66" s="9" t="s">
        <v>40</v>
      </c>
      <c r="G66" s="23"/>
      <c r="H66" s="23"/>
    </row>
    <row r="67" spans="2:10" x14ac:dyDescent="0.2">
      <c r="B67" s="5">
        <v>1</v>
      </c>
      <c r="C67" s="10">
        <f>B67/$C$27*1000000</f>
        <v>61616.804583068115</v>
      </c>
      <c r="E67" s="10">
        <f>B67/$C$25*1000000</f>
        <v>246467.21833227246</v>
      </c>
      <c r="G67" s="23" t="s">
        <v>96</v>
      </c>
      <c r="H67" s="23">
        <f>10000/C29</f>
        <v>154.04201145767027</v>
      </c>
    </row>
    <row r="68" spans="2:10" x14ac:dyDescent="0.2">
      <c r="B68" s="5">
        <v>2</v>
      </c>
      <c r="C68" s="10">
        <f t="shared" ref="C68:C81" si="2">$C$67/B68</f>
        <v>30808.402291534057</v>
      </c>
      <c r="E68" s="10">
        <f t="shared" ref="E68:E81" si="3">$E$67/B68</f>
        <v>123233.60916613623</v>
      </c>
    </row>
    <row r="69" spans="2:10" x14ac:dyDescent="0.2">
      <c r="B69" s="5">
        <v>3</v>
      </c>
      <c r="C69" s="10">
        <f t="shared" si="2"/>
        <v>20538.934861022706</v>
      </c>
      <c r="E69" s="10">
        <f t="shared" si="3"/>
        <v>82155.739444090825</v>
      </c>
      <c r="G69" s="22" t="s">
        <v>99</v>
      </c>
      <c r="H69" s="23"/>
      <c r="I69" s="23"/>
    </row>
    <row r="70" spans="2:10" x14ac:dyDescent="0.2">
      <c r="B70" s="5">
        <v>4</v>
      </c>
      <c r="C70" s="10">
        <f t="shared" si="2"/>
        <v>15404.201145767029</v>
      </c>
      <c r="E70" s="10">
        <f t="shared" si="3"/>
        <v>61616.804583068115</v>
      </c>
      <c r="G70" s="23"/>
      <c r="H70" s="23" t="s">
        <v>100</v>
      </c>
      <c r="I70" s="23" t="s">
        <v>101</v>
      </c>
      <c r="J70" s="24" t="s">
        <v>102</v>
      </c>
    </row>
    <row r="71" spans="2:10" x14ac:dyDescent="0.2">
      <c r="B71" s="5">
        <v>5</v>
      </c>
      <c r="C71" s="10">
        <f t="shared" si="2"/>
        <v>12323.360916613623</v>
      </c>
      <c r="E71" s="10">
        <f t="shared" si="3"/>
        <v>49293.443666454492</v>
      </c>
      <c r="G71" s="23" t="s">
        <v>37</v>
      </c>
      <c r="H71" s="23">
        <f>50*C25</f>
        <v>202.86673553719007</v>
      </c>
      <c r="I71" s="23">
        <f>H71/1000</f>
        <v>0.20286673553719006</v>
      </c>
      <c r="J71" s="24">
        <f>10/I71</f>
        <v>49.293443666454493</v>
      </c>
    </row>
    <row r="72" spans="2:10" x14ac:dyDescent="0.2">
      <c r="B72" s="5">
        <v>6</v>
      </c>
      <c r="C72" s="10">
        <f t="shared" si="2"/>
        <v>10269.467430511353</v>
      </c>
      <c r="E72" s="10">
        <f t="shared" si="3"/>
        <v>41077.869722045412</v>
      </c>
      <c r="G72" s="23"/>
      <c r="H72" s="23"/>
      <c r="I72" s="23"/>
      <c r="J72" s="24"/>
    </row>
    <row r="73" spans="2:10" x14ac:dyDescent="0.2">
      <c r="B73" s="5">
        <v>7</v>
      </c>
      <c r="C73" s="10">
        <f t="shared" si="2"/>
        <v>8802.4006547240169</v>
      </c>
      <c r="E73" s="10">
        <f t="shared" si="3"/>
        <v>35209.602618896068</v>
      </c>
      <c r="G73" s="23" t="s">
        <v>39</v>
      </c>
      <c r="H73" s="23">
        <f>50*C27</f>
        <v>811.46694214876027</v>
      </c>
      <c r="I73" s="23">
        <f>H73/1000</f>
        <v>0.81146694214876025</v>
      </c>
      <c r="J73" s="24">
        <f>10/I73</f>
        <v>12.323360916613623</v>
      </c>
    </row>
    <row r="74" spans="2:10" x14ac:dyDescent="0.2">
      <c r="B74" s="5">
        <v>8</v>
      </c>
      <c r="C74" s="10">
        <f t="shared" si="2"/>
        <v>7702.1005728835144</v>
      </c>
      <c r="E74" s="10">
        <f t="shared" si="3"/>
        <v>30808.402291534057</v>
      </c>
      <c r="G74" s="23"/>
      <c r="H74" s="23"/>
      <c r="I74" s="23"/>
      <c r="J74" s="24"/>
    </row>
    <row r="75" spans="2:10" x14ac:dyDescent="0.2">
      <c r="B75" s="5">
        <v>9</v>
      </c>
      <c r="C75" s="10">
        <f t="shared" si="2"/>
        <v>6846.3116203409018</v>
      </c>
      <c r="E75" s="10">
        <f t="shared" si="3"/>
        <v>27385.246481363607</v>
      </c>
      <c r="G75" s="23" t="s">
        <v>96</v>
      </c>
      <c r="H75" s="23">
        <f>50*C29</f>
        <v>3245.8677685950411</v>
      </c>
      <c r="I75" s="23">
        <f>H75/1000</f>
        <v>3.245867768595041</v>
      </c>
      <c r="J75" s="24">
        <f>10/I75</f>
        <v>3.0808402291534058</v>
      </c>
    </row>
    <row r="76" spans="2:10" x14ac:dyDescent="0.2">
      <c r="B76" s="5">
        <v>10</v>
      </c>
      <c r="C76" s="10">
        <f t="shared" si="2"/>
        <v>6161.6804583068115</v>
      </c>
      <c r="E76" s="10">
        <f t="shared" si="3"/>
        <v>24646.721833227246</v>
      </c>
    </row>
    <row r="77" spans="2:10" x14ac:dyDescent="0.2">
      <c r="B77" s="5">
        <v>20</v>
      </c>
      <c r="C77" s="10">
        <f t="shared" si="2"/>
        <v>3080.8402291534057</v>
      </c>
      <c r="E77" s="10">
        <f t="shared" si="3"/>
        <v>12323.360916613623</v>
      </c>
    </row>
    <row r="78" spans="2:10" x14ac:dyDescent="0.2">
      <c r="B78" s="5">
        <v>40</v>
      </c>
      <c r="C78" s="10">
        <f t="shared" si="2"/>
        <v>1540.4201145767029</v>
      </c>
      <c r="E78" s="10">
        <f t="shared" si="3"/>
        <v>6161.6804583068115</v>
      </c>
    </row>
    <row r="79" spans="2:10" x14ac:dyDescent="0.2">
      <c r="B79" s="5">
        <v>100</v>
      </c>
      <c r="C79" s="10">
        <f t="shared" si="2"/>
        <v>616.16804583068119</v>
      </c>
      <c r="E79" s="10">
        <f t="shared" si="3"/>
        <v>2464.6721833227248</v>
      </c>
    </row>
    <row r="80" spans="2:10" x14ac:dyDescent="0.2">
      <c r="B80" s="5">
        <v>200</v>
      </c>
      <c r="C80" s="10">
        <f t="shared" si="2"/>
        <v>308.0840229153406</v>
      </c>
      <c r="E80" s="10">
        <f t="shared" si="3"/>
        <v>1232.3360916613624</v>
      </c>
    </row>
    <row r="81" spans="2:5" x14ac:dyDescent="0.2">
      <c r="B81" s="5">
        <v>400</v>
      </c>
      <c r="C81" s="10">
        <f t="shared" si="2"/>
        <v>154.0420114576703</v>
      </c>
      <c r="E81" s="10">
        <f t="shared" si="3"/>
        <v>616.16804583068119</v>
      </c>
    </row>
    <row r="82" spans="2:5" x14ac:dyDescent="0.2">
      <c r="B82" s="5"/>
    </row>
    <row r="83" spans="2:5" x14ac:dyDescent="0.2">
      <c r="B83" s="5"/>
    </row>
    <row r="116" spans="2:5" x14ac:dyDescent="0.2">
      <c r="B116" s="5"/>
      <c r="C116" s="10"/>
      <c r="D116" s="10"/>
      <c r="E116" s="10"/>
    </row>
  </sheetData>
  <protectedRanges>
    <protectedRange password="CFEF" sqref="G17 C17 E17 C20 B36 E36 B37 E37 C42 C43" name="Data entry cells"/>
  </protectedRanges>
  <phoneticPr fontId="1" type="noConversion"/>
  <pageMargins left="0.25" right="0.25" top="0.25" bottom="0.2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41"/>
  <sheetViews>
    <sheetView workbookViewId="0">
      <selection activeCell="L19" sqref="L19"/>
    </sheetView>
  </sheetViews>
  <sheetFormatPr defaultColWidth="11.42578125" defaultRowHeight="12.75" x14ac:dyDescent="0.2"/>
  <sheetData>
    <row r="4" spans="2:2" x14ac:dyDescent="0.2">
      <c r="B4" s="1" t="s">
        <v>10</v>
      </c>
    </row>
    <row r="6" spans="2:2" x14ac:dyDescent="0.2">
      <c r="B6" t="s">
        <v>11</v>
      </c>
    </row>
    <row r="7" spans="2:2" x14ac:dyDescent="0.2">
      <c r="B7" t="s">
        <v>72</v>
      </c>
    </row>
    <row r="8" spans="2:2" x14ac:dyDescent="0.2">
      <c r="B8" t="s">
        <v>12</v>
      </c>
    </row>
    <row r="9" spans="2:2" x14ac:dyDescent="0.2">
      <c r="B9" t="s">
        <v>73</v>
      </c>
    </row>
    <row r="10" spans="2:2" x14ac:dyDescent="0.2">
      <c r="B10" t="s">
        <v>74</v>
      </c>
    </row>
    <row r="11" spans="2:2" x14ac:dyDescent="0.2">
      <c r="B11" t="s">
        <v>13</v>
      </c>
    </row>
    <row r="12" spans="2:2" x14ac:dyDescent="0.2">
      <c r="B12" t="s">
        <v>75</v>
      </c>
    </row>
    <row r="13" spans="2:2" x14ac:dyDescent="0.2">
      <c r="B13" t="s">
        <v>76</v>
      </c>
    </row>
    <row r="14" spans="2:2" x14ac:dyDescent="0.2">
      <c r="B14" t="s">
        <v>14</v>
      </c>
    </row>
    <row r="17" spans="2:2" x14ac:dyDescent="0.2">
      <c r="B17" s="1" t="s">
        <v>16</v>
      </c>
    </row>
    <row r="19" spans="2:2" x14ac:dyDescent="0.2">
      <c r="B19" t="s">
        <v>17</v>
      </c>
    </row>
    <row r="20" spans="2:2" x14ac:dyDescent="0.2">
      <c r="B20" t="s">
        <v>77</v>
      </c>
    </row>
    <row r="21" spans="2:2" x14ac:dyDescent="0.2">
      <c r="B21" t="s">
        <v>18</v>
      </c>
    </row>
    <row r="22" spans="2:2" x14ac:dyDescent="0.2">
      <c r="B22" t="s">
        <v>19</v>
      </c>
    </row>
    <row r="23" spans="2:2" x14ac:dyDescent="0.2">
      <c r="B23" t="s">
        <v>20</v>
      </c>
    </row>
    <row r="24" spans="2:2" x14ac:dyDescent="0.2">
      <c r="B24" t="s">
        <v>21</v>
      </c>
    </row>
    <row r="26" spans="2:2" x14ac:dyDescent="0.2">
      <c r="B26" t="s">
        <v>6</v>
      </c>
    </row>
    <row r="27" spans="2:2" x14ac:dyDescent="0.2">
      <c r="B27" t="s">
        <v>7</v>
      </c>
    </row>
    <row r="28" spans="2:2" x14ac:dyDescent="0.2">
      <c r="B28" t="s">
        <v>78</v>
      </c>
    </row>
    <row r="30" spans="2:2" x14ac:dyDescent="0.2">
      <c r="B30" t="s">
        <v>8</v>
      </c>
    </row>
    <row r="31" spans="2:2" x14ac:dyDescent="0.2">
      <c r="B31" t="s">
        <v>9</v>
      </c>
    </row>
    <row r="32" spans="2:2" x14ac:dyDescent="0.2">
      <c r="B32" t="s">
        <v>79</v>
      </c>
    </row>
    <row r="35" spans="2:2" x14ac:dyDescent="0.2">
      <c r="B35" s="1" t="s">
        <v>66</v>
      </c>
    </row>
    <row r="36" spans="2:2" x14ac:dyDescent="0.2">
      <c r="B36" s="1" t="s">
        <v>67</v>
      </c>
    </row>
    <row r="37" spans="2:2" x14ac:dyDescent="0.2">
      <c r="B37" s="1" t="s">
        <v>71</v>
      </c>
    </row>
    <row r="38" spans="2:2" x14ac:dyDescent="0.2">
      <c r="B38" s="1" t="s">
        <v>70</v>
      </c>
    </row>
    <row r="39" spans="2:2" x14ac:dyDescent="0.2">
      <c r="B39" s="1" t="s">
        <v>68</v>
      </c>
    </row>
    <row r="40" spans="2:2" x14ac:dyDescent="0.2">
      <c r="B40" s="1" t="s">
        <v>69</v>
      </c>
    </row>
    <row r="41" spans="2:2" x14ac:dyDescent="0.2">
      <c r="B41" s="1"/>
    </row>
  </sheetData>
  <phoneticPr fontId="1" type="noConversion"/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Volume Calculations, WHO</vt:lpstr>
      <vt:lpstr>Sheet3</vt:lpstr>
    </vt:vector>
  </TitlesOfParts>
  <Company>FHI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dsokal</dc:creator>
  <cp:lastModifiedBy>Doug Stein</cp:lastModifiedBy>
  <cp:lastPrinted>2013-11-27T18:08:03Z</cp:lastPrinted>
  <dcterms:created xsi:type="dcterms:W3CDTF">2008-12-04T18:15:48Z</dcterms:created>
  <dcterms:modified xsi:type="dcterms:W3CDTF">2018-02-22T22:58:23Z</dcterms:modified>
</cp:coreProperties>
</file>